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joaquinvincent/Downloads/beams/"/>
    </mc:Choice>
  </mc:AlternateContent>
  <xr:revisionPtr revIDLastSave="0" documentId="13_ncr:1_{AA7AE2BE-AE70-1840-9A7C-8C7FBAB6E021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Sample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lQFfoli/M+uEVv/NZ6TH6o7Y1kYCROp5k+ggAmSn28="/>
    </ext>
  </extLst>
</workbook>
</file>

<file path=xl/calcChain.xml><?xml version="1.0" encoding="utf-8"?>
<calcChain xmlns="http://schemas.openxmlformats.org/spreadsheetml/2006/main">
  <c r="B48" i="1" l="1"/>
  <c r="B39" i="1" s="1"/>
  <c r="B47" i="1"/>
  <c r="B34" i="1" s="1"/>
  <c r="B71" i="1"/>
  <c r="B63" i="1"/>
  <c r="D13" i="1" s="1"/>
  <c r="B59" i="1"/>
  <c r="D12" i="1" s="1"/>
  <c r="B50" i="1"/>
  <c r="B43" i="1"/>
  <c r="B31" i="1" l="1"/>
  <c r="B30" i="1"/>
  <c r="B32" i="1"/>
  <c r="B54" i="1" s="1"/>
  <c r="B64" i="1" s="1"/>
  <c r="B33" i="1"/>
  <c r="B49" i="1"/>
  <c r="B51" i="1"/>
  <c r="D15" i="1"/>
  <c r="B57" i="1"/>
  <c r="B53" i="1"/>
  <c r="B55" i="1"/>
  <c r="B67" i="1" s="1"/>
  <c r="B56" i="1"/>
  <c r="B72" i="1" s="1"/>
  <c r="C15" i="1" s="1"/>
  <c r="B68" i="1"/>
  <c r="C14" i="1" s="1"/>
  <c r="B60" i="1" l="1"/>
  <c r="C12" i="1" s="1"/>
  <c r="D14" i="1"/>
  <c r="C13" i="1"/>
  <c r="B65" i="1"/>
  <c r="B73" i="1"/>
  <c r="B61" i="1" l="1"/>
  <c r="B69" i="1"/>
  <c r="E14" i="1" s="1"/>
  <c r="C73" i="1"/>
  <c r="F15" i="1" s="1"/>
  <c r="E15" i="1"/>
  <c r="C61" i="1"/>
  <c r="F12" i="1" s="1"/>
  <c r="E12" i="1"/>
  <c r="C69" i="1"/>
  <c r="F14" i="1" s="1"/>
  <c r="C65" i="1"/>
  <c r="F13" i="1" s="1"/>
  <c r="E13" i="1"/>
</calcChain>
</file>

<file path=xl/sharedStrings.xml><?xml version="1.0" encoding="utf-8"?>
<sst xmlns="http://schemas.openxmlformats.org/spreadsheetml/2006/main" count="176" uniqueCount="133">
  <si>
    <t>SCOPE</t>
  </si>
  <si>
    <t>This Spreadsheet calculates the bending, shear, bearing, and deflection capacities of a simply supported beam with a distributed load along its length.</t>
  </si>
  <si>
    <t>DESIGN CODE</t>
  </si>
  <si>
    <t>[1]“2018 NDS,” American Wood Council, 2018.</t>
  </si>
  <si>
    <t>[2]“2018 NDS Supplement,” American Wood Council, 2021.</t>
  </si>
  <si>
    <t>DESIGN SUMMARY</t>
  </si>
  <si>
    <t>Level</t>
  </si>
  <si>
    <t>Label</t>
  </si>
  <si>
    <t>Type</t>
  </si>
  <si>
    <t>Beam</t>
  </si>
  <si>
    <t>Description</t>
  </si>
  <si>
    <t>Unit</t>
  </si>
  <si>
    <t>Capacity</t>
  </si>
  <si>
    <t>Demand</t>
  </si>
  <si>
    <t>DCR</t>
  </si>
  <si>
    <t>Result</t>
  </si>
  <si>
    <t>Bending</t>
  </si>
  <si>
    <t>kip-ft</t>
  </si>
  <si>
    <t>Shear</t>
  </si>
  <si>
    <t>kip</t>
  </si>
  <si>
    <t>Deflection</t>
  </si>
  <si>
    <t>in</t>
  </si>
  <si>
    <t>Bearing</t>
  </si>
  <si>
    <t>INPUT PARAMETERS</t>
  </si>
  <si>
    <t>Design Loads</t>
  </si>
  <si>
    <t>M</t>
  </si>
  <si>
    <t>kip*ft</t>
  </si>
  <si>
    <t>Maximum Moment</t>
  </si>
  <si>
    <t>V</t>
  </si>
  <si>
    <t xml:space="preserve">Maximum Shear </t>
  </si>
  <si>
    <t>R</t>
  </si>
  <si>
    <t xml:space="preserve">Maximum Reaction </t>
  </si>
  <si>
    <t>Design Geometry</t>
  </si>
  <si>
    <t>L</t>
  </si>
  <si>
    <t>ft</t>
  </si>
  <si>
    <t>Clear Span length</t>
  </si>
  <si>
    <t>bn</t>
  </si>
  <si>
    <t>Nominal width</t>
  </si>
  <si>
    <t>db</t>
  </si>
  <si>
    <t>Nominal depth</t>
  </si>
  <si>
    <t>N</t>
  </si>
  <si>
    <t>-</t>
  </si>
  <si>
    <t>Number of Sections</t>
  </si>
  <si>
    <t>Lbe</t>
  </si>
  <si>
    <t>Bearing Length at each end</t>
  </si>
  <si>
    <t>Material Properties</t>
  </si>
  <si>
    <t>Wood Species and Grade</t>
  </si>
  <si>
    <t>Fb</t>
  </si>
  <si>
    <t>psi</t>
  </si>
  <si>
    <t>Bending value</t>
  </si>
  <si>
    <t>[2]- Tab. 4A</t>
  </si>
  <si>
    <t>Emin</t>
  </si>
  <si>
    <t>Min Modulus of elasticity</t>
  </si>
  <si>
    <t>Fv</t>
  </si>
  <si>
    <t>Shear Parallel to grain</t>
  </si>
  <si>
    <t>E</t>
  </si>
  <si>
    <t>Modulus of elasticity</t>
  </si>
  <si>
    <t>fcp</t>
  </si>
  <si>
    <t>Compression perp. to grain</t>
  </si>
  <si>
    <t>Adjustment Factors</t>
  </si>
  <si>
    <t>Cd</t>
  </si>
  <si>
    <t>Load duration Factor</t>
  </si>
  <si>
    <t>[1]- Sec. 2.3.2</t>
  </si>
  <si>
    <t>CM</t>
  </si>
  <si>
    <t xml:space="preserve">Wet-service factor </t>
  </si>
  <si>
    <t>[1]- Sec. 4.3.3</t>
  </si>
  <si>
    <t>Ct</t>
  </si>
  <si>
    <t>Temperature factor</t>
  </si>
  <si>
    <t>[1]- Tab. 2.3.3.</t>
  </si>
  <si>
    <t>CF</t>
  </si>
  <si>
    <t>Size factor</t>
  </si>
  <si>
    <t>[1]-Sec. 4.3.6</t>
  </si>
  <si>
    <t>Cfu</t>
  </si>
  <si>
    <t>Flat-use factor</t>
  </si>
  <si>
    <t>[1]- Sec.4.3.7.</t>
  </si>
  <si>
    <t>Ci</t>
  </si>
  <si>
    <t>Incising factor</t>
  </si>
  <si>
    <t>[1]- Sec. 4.3.8</t>
  </si>
  <si>
    <t>Cr</t>
  </si>
  <si>
    <t>Repetitive member factor</t>
  </si>
  <si>
    <t>[1]-Sec. 4.3.9.</t>
  </si>
  <si>
    <t>Cb</t>
  </si>
  <si>
    <t>Bearing coefficient</t>
  </si>
  <si>
    <t>[1]- Sec. 3.10.4.</t>
  </si>
  <si>
    <t>CL</t>
  </si>
  <si>
    <t>Beam stability factor</t>
  </si>
  <si>
    <t>[1]- Sec. 3.3.3.8.</t>
  </si>
  <si>
    <t>OUTPUT RESULTS</t>
  </si>
  <si>
    <t>Geometric Parameters</t>
  </si>
  <si>
    <t>b</t>
  </si>
  <si>
    <t>Dressed beam breadth</t>
  </si>
  <si>
    <t>d</t>
  </si>
  <si>
    <t>Dressed beam depth</t>
  </si>
  <si>
    <t>le</t>
  </si>
  <si>
    <t>Effective length</t>
  </si>
  <si>
    <t>lu</t>
  </si>
  <si>
    <t>Distance between lateral support points</t>
  </si>
  <si>
    <t>[1]- Sec. 3.3.3.4.</t>
  </si>
  <si>
    <t>S</t>
  </si>
  <si>
    <t>in3</t>
  </si>
  <si>
    <t>Section Modulus</t>
  </si>
  <si>
    <t>Adjusted Capacities</t>
  </si>
  <si>
    <t>E'min</t>
  </si>
  <si>
    <t>Adjusted Min Modulus of Elasticity</t>
  </si>
  <si>
    <t>[1]- Tab. 4.3.1.</t>
  </si>
  <si>
    <t>f’v</t>
  </si>
  <si>
    <t>Adjusted Shear stress</t>
  </si>
  <si>
    <t>E’</t>
  </si>
  <si>
    <t>Adjusted Modulus of Elasticity</t>
  </si>
  <si>
    <t>fcp’</t>
  </si>
  <si>
    <t>Adjusted perp. Compression Stress</t>
  </si>
  <si>
    <t>F'bn</t>
  </si>
  <si>
    <t>Adjusted Bending stress</t>
  </si>
  <si>
    <t>Ma</t>
  </si>
  <si>
    <t>Bending Demand</t>
  </si>
  <si>
    <t>Mn</t>
  </si>
  <si>
    <t>Bending Strength</t>
  </si>
  <si>
    <t>[1]- Sec 3.3.2.</t>
  </si>
  <si>
    <t>Va</t>
  </si>
  <si>
    <t>Shear Demand</t>
  </si>
  <si>
    <t>Vn</t>
  </si>
  <si>
    <t>Shear Strength</t>
  </si>
  <si>
    <t>[1]- Sec 3.4.2.</t>
  </si>
  <si>
    <t>Def_a</t>
  </si>
  <si>
    <t>Deflection Demand</t>
  </si>
  <si>
    <t>Def_l</t>
  </si>
  <si>
    <t>Deflection Limit</t>
  </si>
  <si>
    <t>[1]- Sec 3.5.2.</t>
  </si>
  <si>
    <t>Ra</t>
  </si>
  <si>
    <t>Bearing Demand</t>
  </si>
  <si>
    <t>Bn</t>
  </si>
  <si>
    <t>Bearing Capacity</t>
  </si>
  <si>
    <t>[1]- Sec 3.10.2.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</si>
</sst>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4" x14ac:knownFonts="1">
    <font>
      <sz val="11"/>
      <color rgb="FF000000"/>
      <name val="Gill Sans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D1D5"/>
        <bgColor rgb="FFF7D1D5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2" borderId="6" xfId="0" applyFont="1" applyFill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2" fillId="0" borderId="7" xfId="0" applyFont="1" applyBorder="1"/>
    <xf numFmtId="2" fontId="2" fillId="0" borderId="7" xfId="0" applyNumberFormat="1" applyFont="1" applyBorder="1" applyAlignment="1">
      <alignment horizontal="left"/>
    </xf>
    <xf numFmtId="164" fontId="2" fillId="0" borderId="7" xfId="0" applyNumberFormat="1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readingOrder="1"/>
    </xf>
    <xf numFmtId="165" fontId="2" fillId="0" borderId="7" xfId="0" applyNumberFormat="1" applyFont="1" applyBorder="1" applyAlignment="1">
      <alignment horizontal="left"/>
    </xf>
    <xf numFmtId="0" fontId="1" fillId="0" borderId="2" xfId="0" applyFont="1" applyBorder="1"/>
    <xf numFmtId="0" fontId="2" fillId="0" borderId="0" xfId="0" applyFont="1" applyAlignment="1">
      <alignment horizontal="right" vertical="center"/>
    </xf>
    <xf numFmtId="2" fontId="2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2" borderId="6" xfId="0" applyFont="1" applyFill="1" applyBorder="1"/>
    <xf numFmtId="0" fontId="2" fillId="3" borderId="6" xfId="0" applyFont="1" applyFill="1" applyBorder="1"/>
    <xf numFmtId="1" fontId="2" fillId="3" borderId="6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2" fillId="0" borderId="0" xfId="0" applyNumberFormat="1" applyFont="1"/>
    <xf numFmtId="2" fontId="2" fillId="0" borderId="0" xfId="0" applyNumberFormat="1" applyFont="1" applyAlignment="1">
      <alignment horizontal="left" readingOrder="1"/>
    </xf>
    <xf numFmtId="0" fontId="2" fillId="0" borderId="0" xfId="0" applyFont="1" applyAlignment="1">
      <alignment horizontal="left" readingOrder="1"/>
    </xf>
    <xf numFmtId="166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4</xdr:row>
      <xdr:rowOff>133350</xdr:rowOff>
    </xdr:from>
    <xdr:ext cx="10477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-5400000" flipH="1">
          <a:off x="5217413" y="3732375"/>
          <a:ext cx="257175" cy="95250"/>
        </a:xfrm>
        <a:prstGeom prst="parallelogram">
          <a:avLst>
            <a:gd name="adj" fmla="val 83835"/>
          </a:avLst>
        </a:prstGeom>
        <a:gradFill>
          <a:gsLst>
            <a:gs pos="0">
              <a:srgbClr val="D1D1D1"/>
            </a:gs>
            <a:gs pos="50000">
              <a:srgbClr val="C7C7C7"/>
            </a:gs>
            <a:gs pos="100000">
              <a:srgbClr val="C0C0C0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581025</xdr:colOff>
      <xdr:row>7</xdr:row>
      <xdr:rowOff>87836</xdr:rowOff>
    </xdr:from>
    <xdr:ext cx="1524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464425" y="1383236"/>
          <a:ext cx="152400" cy="38100"/>
          <a:chOff x="5269800" y="3780000"/>
          <a:chExt cx="152400" cy="0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rot="10800000">
            <a:off x="5269800" y="3780000"/>
            <a:ext cx="1524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oneCellAnchor>
    <xdr:from>
      <xdr:col>3</xdr:col>
      <xdr:colOff>1930069</xdr:colOff>
      <xdr:row>5</xdr:row>
      <xdr:rowOff>126865</xdr:rowOff>
    </xdr:from>
    <xdr:ext cx="247650" cy="4000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818315" y="1107955"/>
          <a:ext cx="247650" cy="400050"/>
        </a:xfrm>
        <a:prstGeom prst="rect">
          <a:avLst/>
        </a:prstGeom>
        <a:solidFill>
          <a:srgbClr val="D0CECE"/>
        </a:solidFill>
        <a:ln w="12700" cap="flat" cmpd="sng">
          <a:solidFill>
            <a:srgbClr val="1D315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1905000</xdr:colOff>
      <xdr:row>8</xdr:row>
      <xdr:rowOff>123825</xdr:rowOff>
    </xdr:from>
    <xdr:ext cx="28575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791200" y="1571625"/>
          <a:ext cx="285750" cy="38100"/>
          <a:chOff x="5203125" y="3780000"/>
          <a:chExt cx="285750" cy="0"/>
        </a:xfrm>
      </xdr:grpSpPr>
      <xdr:cxnSp macro="">
        <xdr:nvCxnSpPr>
          <xdr:cNvPr id="7" name="Shap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5203125" y="3780000"/>
            <a:ext cx="2857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oneCellAnchor>
    <xdr:from>
      <xdr:col>3</xdr:col>
      <xdr:colOff>19050</xdr:colOff>
      <xdr:row>1</xdr:row>
      <xdr:rowOff>323859</xdr:rowOff>
    </xdr:from>
    <xdr:ext cx="3800468" cy="1282896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3905250" y="476259"/>
          <a:ext cx="3800468" cy="1282896"/>
          <a:chOff x="3445763" y="3165647"/>
          <a:chExt cx="3800468" cy="1282896"/>
        </a:xfrm>
      </xdr:grpSpPr>
      <xdr:grpSp>
        <xdr:nvGrpSpPr>
          <xdr:cNvPr id="9" name="Shape 7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3445763" y="3165647"/>
            <a:ext cx="3800468" cy="1282896"/>
            <a:chOff x="327595" y="4229894"/>
            <a:chExt cx="5107400" cy="1094504"/>
          </a:xfrm>
        </xdr:grpSpPr>
        <xdr:sp macro="" textlink="">
          <xdr:nvSpPr>
            <xdr:cNvPr id="10" name="Shape 8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327595" y="4229894"/>
              <a:ext cx="5107400" cy="10482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9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155026" y="4562260"/>
              <a:ext cx="4132356" cy="179863"/>
            </a:xfrm>
            <a:prstGeom prst="rect">
              <a:avLst/>
            </a:prstGeom>
            <a:solidFill>
              <a:srgbClr val="FFFFFF"/>
            </a:solidFill>
            <a:ln w="12700" cap="flat" cmpd="sng">
              <a:solidFill>
                <a:srgbClr val="1D3155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2" name="Shape 10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 rot="10800000" flipH="1">
              <a:off x="1335746" y="4438597"/>
              <a:ext cx="3769126" cy="968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cxnSp macro="">
          <xdr:nvCxnSpPr>
            <xdr:cNvPr id="13" name="Shape 1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CxnSpPr/>
          </xdr:nvCxnSpPr>
          <xdr:spPr>
            <a:xfrm>
              <a:off x="1335746" y="4357592"/>
              <a:ext cx="0" cy="161503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  <xdr:cxnSp macro="">
          <xdr:nvCxnSpPr>
            <xdr:cNvPr id="14" name="Shape 12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CxnSpPr/>
          </xdr:nvCxnSpPr>
          <xdr:spPr>
            <a:xfrm>
              <a:off x="5111644" y="4348510"/>
              <a:ext cx="0" cy="175708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  <xdr:sp macro="" textlink="">
          <xdr:nvSpPr>
            <xdr:cNvPr id="15" name="Shape 13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3073450" y="4229894"/>
              <a:ext cx="266040" cy="20830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0000" tIns="45000" rIns="90000" bIns="450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L</a:t>
              </a:r>
              <a:endParaRPr sz="1000" b="0" strike="noStrike"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16" name="Shape 14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5122263" y="4742843"/>
              <a:ext cx="164855" cy="144734"/>
            </a:xfrm>
            <a:prstGeom prst="rect">
              <a:avLst/>
            </a:prstGeom>
            <a:solidFill>
              <a:srgbClr val="FFFFFF"/>
            </a:solidFill>
            <a:ln w="12700" cap="flat" cmpd="sng">
              <a:solidFill>
                <a:srgbClr val="1D3155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15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159075" y="4742843"/>
              <a:ext cx="156304" cy="150558"/>
            </a:xfrm>
            <a:prstGeom prst="rect">
              <a:avLst/>
            </a:prstGeom>
            <a:solidFill>
              <a:srgbClr val="FFFFFF"/>
            </a:solidFill>
            <a:ln w="12700" cap="flat" cmpd="sng">
              <a:solidFill>
                <a:srgbClr val="1D3155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8" name="Shape 16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>
            <a:xfrm>
              <a:off x="4552777" y="4910842"/>
              <a:ext cx="763706" cy="20830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0000" tIns="45000" rIns="90000" bIns="450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Lbe</a:t>
              </a:r>
              <a:endParaRPr sz="1000" b="0" strike="noStrike"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19" name="Shape 17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>
            <a:xfrm>
              <a:off x="2939890" y="4524100"/>
              <a:ext cx="925706" cy="20830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0000" tIns="45000" rIns="90000" bIns="450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beam</a:t>
              </a:r>
              <a:endParaRPr sz="1000" b="0" strike="noStrike"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20" name="Shape 18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327595" y="4714403"/>
              <a:ext cx="845028" cy="22396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0000" tIns="45000" rIns="90000" bIns="450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support</a:t>
              </a:r>
              <a:endParaRPr sz="1000" b="0" strike="noStrike"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cxnSp macro="">
          <xdr:nvCxnSpPr>
            <xdr:cNvPr id="21" name="Shape 19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 flipH="1">
              <a:off x="2718969" y="4849593"/>
              <a:ext cx="1169" cy="334284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2" name="Shape 20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2661804" y="4914588"/>
              <a:ext cx="763706" cy="20830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0000" tIns="45000" rIns="90000" bIns="450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d</a:t>
              </a:r>
              <a:endParaRPr sz="1000" b="0" strike="noStrike"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 macro="" textlink="">
          <xdr:nvSpPr>
            <xdr:cNvPr id="23" name="Shape 21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2900337" y="5116095"/>
              <a:ext cx="761399" cy="20830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0000" tIns="45000" rIns="90000" bIns="450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b</a:t>
              </a:r>
              <a:endParaRPr sz="1000" b="0" strike="noStrike"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</xdr:grpSp>
    </xdr:grpSp>
    <xdr:clientData fLocksWithSheet="0"/>
  </xdr:oneCellAnchor>
  <xdr:oneCellAnchor>
    <xdr:from>
      <xdr:col>3</xdr:col>
      <xdr:colOff>628650</xdr:colOff>
      <xdr:row>3</xdr:row>
      <xdr:rowOff>85725</xdr:rowOff>
    </xdr:from>
    <xdr:ext cx="3190875" cy="85725"/>
    <xdr:sp macro="" textlink="">
      <xdr:nvSpPr>
        <xdr:cNvPr id="24" name="Shape 2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55325" y="3741900"/>
          <a:ext cx="3181350" cy="76200"/>
        </a:xfrm>
        <a:prstGeom prst="parallelogram">
          <a:avLst>
            <a:gd name="adj" fmla="val 116667"/>
          </a:avLst>
        </a:prstGeom>
        <a:gradFill>
          <a:gsLst>
            <a:gs pos="0">
              <a:srgbClr val="D1D1D1"/>
            </a:gs>
            <a:gs pos="50000">
              <a:srgbClr val="C7C7C7"/>
            </a:gs>
            <a:gs pos="100000">
              <a:srgbClr val="C0C0C0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704850</xdr:colOff>
      <xdr:row>3</xdr:row>
      <xdr:rowOff>76200</xdr:rowOff>
    </xdr:from>
    <xdr:ext cx="114300" cy="476250"/>
    <xdr:sp macro="" textlink="">
      <xdr:nvSpPr>
        <xdr:cNvPr id="25" name="Shape 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-5400000" flipH="1">
          <a:off x="5112638" y="3727613"/>
          <a:ext cx="466725" cy="104775"/>
        </a:xfrm>
        <a:prstGeom prst="parallelogram">
          <a:avLst>
            <a:gd name="adj" fmla="val 83835"/>
          </a:avLst>
        </a:prstGeom>
        <a:gradFill>
          <a:gsLst>
            <a:gs pos="0">
              <a:srgbClr val="D1D1D1"/>
            </a:gs>
            <a:gs pos="50000">
              <a:srgbClr val="C7C7C7"/>
            </a:gs>
            <a:gs pos="100000">
              <a:srgbClr val="C0C0C0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Gill Sans"/>
        <a:ea typeface="Gill Sans"/>
        <a:cs typeface="Gill Sans"/>
      </a:majorFont>
      <a:minorFont>
        <a:latin typeface="Gill Sans"/>
        <a:ea typeface="Gill Sans"/>
        <a:cs typeface="Gill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Layout" topLeftCell="A31" zoomScaleNormal="150" workbookViewId="0">
      <selection activeCell="G27" sqref="G27"/>
    </sheetView>
  </sheetViews>
  <sheetFormatPr baseColWidth="10" defaultColWidth="12.6640625" defaultRowHeight="15" customHeight="1" x14ac:dyDescent="0.2"/>
  <cols>
    <col min="1" max="1" width="33.1640625" customWidth="1"/>
    <col min="2" max="2" width="9.1640625" customWidth="1"/>
    <col min="3" max="3" width="8.6640625" customWidth="1"/>
    <col min="4" max="4" width="34" customWidth="1"/>
    <col min="5" max="5" width="5.33203125" customWidth="1"/>
    <col min="6" max="6" width="15.5" customWidth="1"/>
    <col min="7" max="7" width="7.33203125" customWidth="1"/>
    <col min="8" max="26" width="11.6640625" customWidth="1"/>
  </cols>
  <sheetData>
    <row r="1" spans="1:26" ht="12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 x14ac:dyDescent="0.2">
      <c r="A2" s="37" t="s">
        <v>1</v>
      </c>
      <c r="B2" s="38"/>
      <c r="C2" s="38"/>
      <c r="D2" s="38"/>
      <c r="E2" s="38"/>
      <c r="F2" s="38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1" t="s">
        <v>2</v>
      </c>
      <c r="B3" s="2"/>
      <c r="C3" s="2"/>
      <c r="D3" s="4"/>
      <c r="E3" s="5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7" t="s">
        <v>3</v>
      </c>
      <c r="B4" s="2"/>
      <c r="C4" s="2"/>
      <c r="D4" s="8"/>
      <c r="E4" s="2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7" t="s">
        <v>4</v>
      </c>
      <c r="B5" s="2"/>
      <c r="C5" s="2"/>
      <c r="D5" s="8"/>
      <c r="E5" s="2"/>
      <c r="F5" s="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1" t="s">
        <v>5</v>
      </c>
      <c r="B6" s="2"/>
      <c r="C6" s="2"/>
      <c r="D6" s="8"/>
      <c r="E6" s="2"/>
      <c r="F6" s="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10" t="s">
        <v>6</v>
      </c>
      <c r="B7" s="11"/>
      <c r="C7" s="2"/>
      <c r="D7" s="8"/>
      <c r="E7" s="2"/>
      <c r="F7" s="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10" t="s">
        <v>7</v>
      </c>
      <c r="B8" s="11"/>
      <c r="C8" s="2"/>
      <c r="D8" s="8"/>
      <c r="E8" s="2"/>
      <c r="F8" s="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10" t="s">
        <v>8</v>
      </c>
      <c r="B9" s="11" t="s">
        <v>9</v>
      </c>
      <c r="C9" s="2"/>
      <c r="D9" s="8"/>
      <c r="E9" s="2"/>
      <c r="F9" s="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2"/>
      <c r="B10" s="2"/>
      <c r="C10" s="2"/>
      <c r="D10" s="8"/>
      <c r="E10" s="2"/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2" t="s">
        <v>10</v>
      </c>
      <c r="B11" s="12" t="s">
        <v>11</v>
      </c>
      <c r="C11" s="12" t="s">
        <v>12</v>
      </c>
      <c r="D11" s="12" t="s">
        <v>13</v>
      </c>
      <c r="E11" s="12" t="s">
        <v>14</v>
      </c>
      <c r="F11" s="13" t="s">
        <v>15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14" t="s">
        <v>16</v>
      </c>
      <c r="B12" s="14" t="s">
        <v>17</v>
      </c>
      <c r="C12" s="15">
        <f>+B60</f>
        <v>2.2242153347701759E-3</v>
      </c>
      <c r="D12" s="16">
        <f>+B59</f>
        <v>0</v>
      </c>
      <c r="E12" s="17">
        <f t="shared" ref="E12:F12" si="0">B61</f>
        <v>0</v>
      </c>
      <c r="F12" s="18" t="str">
        <f t="shared" si="0"/>
        <v>PASS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14" t="s">
        <v>18</v>
      </c>
      <c r="B13" s="14" t="s">
        <v>19</v>
      </c>
      <c r="C13" s="15">
        <f>+B64</f>
        <v>0.03</v>
      </c>
      <c r="D13" s="15">
        <f>+B63</f>
        <v>0</v>
      </c>
      <c r="E13" s="17">
        <f t="shared" ref="E13:F13" si="1">B65</f>
        <v>0</v>
      </c>
      <c r="F13" s="18" t="str">
        <f t="shared" si="1"/>
        <v>PASS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14" t="s">
        <v>20</v>
      </c>
      <c r="B14" s="14" t="s">
        <v>21</v>
      </c>
      <c r="C14" s="15">
        <f>+B68</f>
        <v>1.4583333333333334E-2</v>
      </c>
      <c r="D14" s="19">
        <f>+B67</f>
        <v>0</v>
      </c>
      <c r="E14" s="17">
        <f t="shared" ref="E14:F14" si="2">B69</f>
        <v>0</v>
      </c>
      <c r="F14" s="18" t="str">
        <f t="shared" si="2"/>
        <v>PASS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14" t="s">
        <v>22</v>
      </c>
      <c r="B15" s="14" t="s">
        <v>19</v>
      </c>
      <c r="C15" s="15">
        <f>+B72</f>
        <v>-1.2109375</v>
      </c>
      <c r="D15" s="15">
        <f>+B71</f>
        <v>0</v>
      </c>
      <c r="E15" s="17">
        <f t="shared" ref="E15:F15" si="3">B73</f>
        <v>0</v>
      </c>
      <c r="F15" s="18" t="str">
        <f t="shared" si="3"/>
        <v>PASS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20" t="s">
        <v>23</v>
      </c>
      <c r="B17" s="5"/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1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1" t="s">
        <v>25</v>
      </c>
      <c r="B19" s="22"/>
      <c r="C19" s="2" t="s">
        <v>26</v>
      </c>
      <c r="D19" s="2" t="s">
        <v>27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21" t="s">
        <v>28</v>
      </c>
      <c r="B20" s="22"/>
      <c r="C20" s="2" t="s">
        <v>19</v>
      </c>
      <c r="D20" s="2" t="s">
        <v>29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21" t="s">
        <v>30</v>
      </c>
      <c r="B21" s="22"/>
      <c r="C21" s="2" t="s">
        <v>19</v>
      </c>
      <c r="D21" s="2" t="s">
        <v>31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1" t="s">
        <v>32</v>
      </c>
      <c r="B22" s="2"/>
      <c r="C22" s="2"/>
      <c r="D22" s="2"/>
      <c r="E22" s="2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10" t="s">
        <v>33</v>
      </c>
      <c r="B23" s="24"/>
      <c r="C23" s="2" t="s">
        <v>34</v>
      </c>
      <c r="D23" s="2" t="s">
        <v>35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10" t="s">
        <v>36</v>
      </c>
      <c r="B24" s="24"/>
      <c r="C24" s="2" t="s">
        <v>21</v>
      </c>
      <c r="D24" s="2" t="s">
        <v>37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10" t="s">
        <v>38</v>
      </c>
      <c r="B25" s="24"/>
      <c r="C25" s="2" t="s">
        <v>21</v>
      </c>
      <c r="D25" s="2" t="s">
        <v>39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0" t="s">
        <v>40</v>
      </c>
      <c r="B26" s="2">
        <v>1</v>
      </c>
      <c r="C26" s="2" t="s">
        <v>41</v>
      </c>
      <c r="D26" s="2" t="s">
        <v>42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0" t="s">
        <v>43</v>
      </c>
      <c r="B27" s="2">
        <v>3.5</v>
      </c>
      <c r="C27" s="2" t="s">
        <v>21</v>
      </c>
      <c r="D27" s="2" t="s">
        <v>44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" t="s">
        <v>45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1"/>
      <c r="B29" s="24"/>
      <c r="C29" s="2"/>
      <c r="D29" s="2" t="s">
        <v>46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10" t="s">
        <v>47</v>
      </c>
      <c r="B30" s="25">
        <f>IF(B29="Parallam PSL", 2900, +IF(B47&lt;=3.5,IF(B29="D.F. Larch No.1",1000,900),IF(B29="D.F. Larch No.1",1200,875)))</f>
        <v>900</v>
      </c>
      <c r="C30" s="2" t="s">
        <v>48</v>
      </c>
      <c r="D30" s="2" t="s">
        <v>49</v>
      </c>
      <c r="E30" s="2"/>
      <c r="F30" s="2" t="s">
        <v>50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10" t="s">
        <v>51</v>
      </c>
      <c r="B31" s="26">
        <f>IF(B29="Parallam PSL", 1118190,+IF(B47&lt;=3.5, IF(B29="D.F. Larch No.1", 620000, 580000), IF(B29="D.F. Larch No.1", 580000,470000)))</f>
        <v>580000</v>
      </c>
      <c r="C31" s="2" t="s">
        <v>48</v>
      </c>
      <c r="D31" s="2" t="s">
        <v>52</v>
      </c>
      <c r="E31" s="23"/>
      <c r="F31" s="2" t="s">
        <v>50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0" t="s">
        <v>53</v>
      </c>
      <c r="B32" s="25">
        <f>IF(B29="Parallam PSL", 290, IF(B47&lt;=3.5,IF(B29="D.F. Larch No.1",180,180),IF(B29="D.F. Larch No.1",170,170)))</f>
        <v>180</v>
      </c>
      <c r="C32" s="2" t="s">
        <v>48</v>
      </c>
      <c r="D32" s="2" t="s">
        <v>54</v>
      </c>
      <c r="E32" s="2"/>
      <c r="F32" s="2" t="s">
        <v>50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10" t="s">
        <v>55</v>
      </c>
      <c r="B33" s="25">
        <f>+IF(B29="Parallam PSL", 2200000,IF(B47&lt;=3.5, IF(B29="D.F. Larch No.1", 1700000, 1600000), IF(B29="D.F. Larch No.1",1600000,1300000)))</f>
        <v>1600000</v>
      </c>
      <c r="C33" s="2" t="s">
        <v>48</v>
      </c>
      <c r="D33" s="2" t="s">
        <v>56</v>
      </c>
      <c r="E33" s="23"/>
      <c r="F33" s="2" t="s">
        <v>50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0" t="s">
        <v>57</v>
      </c>
      <c r="B34" s="25">
        <f>+IF(B29="Parallam PSL",625,IF(B47&lt;=3.5,IF(B29="D.F. Larch No.1",625,625),IF(B29="D.F. Larch No.1",625,625)))</f>
        <v>625</v>
      </c>
      <c r="C34" s="2" t="s">
        <v>48</v>
      </c>
      <c r="D34" s="2" t="s">
        <v>58</v>
      </c>
      <c r="E34" s="23"/>
      <c r="F34" s="2" t="s">
        <v>50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1" t="s">
        <v>59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10" t="s">
        <v>60</v>
      </c>
      <c r="B36" s="2">
        <v>1</v>
      </c>
      <c r="C36" s="2"/>
      <c r="D36" s="2" t="s">
        <v>61</v>
      </c>
      <c r="E36" s="2"/>
      <c r="F36" s="2" t="s">
        <v>62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10" t="s">
        <v>63</v>
      </c>
      <c r="B37" s="2">
        <v>1</v>
      </c>
      <c r="C37" s="2"/>
      <c r="D37" s="2" t="s">
        <v>64</v>
      </c>
      <c r="E37" s="2"/>
      <c r="F37" s="2" t="s">
        <v>65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10" t="s">
        <v>66</v>
      </c>
      <c r="B38" s="2">
        <v>1</v>
      </c>
      <c r="C38" s="2"/>
      <c r="D38" s="2" t="s">
        <v>67</v>
      </c>
      <c r="E38" s="2"/>
      <c r="F38" s="2" t="s">
        <v>68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0" t="s">
        <v>69</v>
      </c>
      <c r="B39" s="27">
        <f>+MIN((12/B48)^(1/9),1)</f>
        <v>-1.4234978142529127</v>
      </c>
      <c r="C39" s="2"/>
      <c r="D39" s="2" t="s">
        <v>70</v>
      </c>
      <c r="E39" s="2"/>
      <c r="F39" s="2" t="s">
        <v>71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10" t="s">
        <v>72</v>
      </c>
      <c r="B40" s="2">
        <v>1</v>
      </c>
      <c r="C40" s="2"/>
      <c r="D40" s="2" t="s">
        <v>73</v>
      </c>
      <c r="E40" s="2"/>
      <c r="F40" s="2" t="s">
        <v>74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10" t="s">
        <v>75</v>
      </c>
      <c r="B41" s="2">
        <v>1</v>
      </c>
      <c r="C41" s="2"/>
      <c r="D41" s="2" t="s">
        <v>76</v>
      </c>
      <c r="E41" s="2"/>
      <c r="F41" s="2" t="s">
        <v>77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10" t="s">
        <v>78</v>
      </c>
      <c r="B42" s="2">
        <v>1</v>
      </c>
      <c r="C42" s="2"/>
      <c r="D42" s="2" t="s">
        <v>79</v>
      </c>
      <c r="E42" s="2"/>
      <c r="F42" s="2" t="s">
        <v>80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10" t="s">
        <v>81</v>
      </c>
      <c r="B43" s="28">
        <f>(B27+0.375)/B27</f>
        <v>1.1071428571428572</v>
      </c>
      <c r="C43" s="2"/>
      <c r="D43" s="2" t="s">
        <v>82</v>
      </c>
      <c r="E43" s="2"/>
      <c r="F43" s="2" t="s">
        <v>83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10" t="s">
        <v>84</v>
      </c>
      <c r="B44" s="28">
        <v>1</v>
      </c>
      <c r="C44" s="2"/>
      <c r="D44" s="2" t="s">
        <v>85</v>
      </c>
      <c r="E44" s="2"/>
      <c r="F44" s="2" t="s">
        <v>86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0" t="s">
        <v>87</v>
      </c>
      <c r="B45" s="5"/>
      <c r="C45" s="5"/>
      <c r="D45" s="5"/>
      <c r="E45" s="5"/>
      <c r="F45" s="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1" t="s">
        <v>88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10" t="s">
        <v>89</v>
      </c>
      <c r="B47" s="2">
        <f>IF(B29="Parallam PSL",B24,+B24-0.5)</f>
        <v>-0.5</v>
      </c>
      <c r="C47" s="2" t="s">
        <v>21</v>
      </c>
      <c r="D47" s="2" t="s">
        <v>90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10" t="s">
        <v>91</v>
      </c>
      <c r="B48" s="2">
        <f>IF(B29="Parallam PSL", B25,+B25-IF(B25&lt;8,0.5,0.75))</f>
        <v>-0.5</v>
      </c>
      <c r="C48" s="2" t="s">
        <v>21</v>
      </c>
      <c r="D48" s="2" t="s">
        <v>92</v>
      </c>
      <c r="E48" s="2"/>
      <c r="F48" s="2"/>
      <c r="G48" s="2"/>
      <c r="H48" s="2"/>
      <c r="I48" s="2"/>
      <c r="J48" s="2"/>
      <c r="K48" s="2"/>
      <c r="L48" s="2"/>
      <c r="M48" s="2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10" t="s">
        <v>93</v>
      </c>
      <c r="B49" s="28">
        <f>IF(B50/B48&gt;=7,1.63*B50+3*B48,2.06*B50)</f>
        <v>7.21</v>
      </c>
      <c r="C49" s="2" t="s">
        <v>21</v>
      </c>
      <c r="D49" s="2" t="s">
        <v>94</v>
      </c>
      <c r="E49" s="23"/>
      <c r="F49" s="2"/>
      <c r="G49" s="2"/>
      <c r="H49" s="2"/>
      <c r="I49" s="2"/>
      <c r="J49" s="2"/>
      <c r="K49" s="2"/>
      <c r="L49" s="2"/>
      <c r="M49" s="2"/>
      <c r="N49" s="3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10" t="s">
        <v>95</v>
      </c>
      <c r="B50" s="2">
        <f>B23*12+B27</f>
        <v>3.5</v>
      </c>
      <c r="C50" s="2" t="s">
        <v>21</v>
      </c>
      <c r="D50" s="30" t="s">
        <v>96</v>
      </c>
      <c r="E50" s="29"/>
      <c r="F50" s="2" t="s">
        <v>97</v>
      </c>
      <c r="G50" s="2"/>
      <c r="H50" s="2"/>
      <c r="I50" s="2"/>
      <c r="J50" s="2"/>
      <c r="K50" s="2"/>
      <c r="L50" s="2"/>
      <c r="M50" s="2"/>
      <c r="N50" s="3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10" t="s">
        <v>98</v>
      </c>
      <c r="B51" s="28">
        <f>(B47*B48^2)/6*B26</f>
        <v>-2.0833333333333332E-2</v>
      </c>
      <c r="C51" s="2" t="s">
        <v>99</v>
      </c>
      <c r="D51" s="2" t="s">
        <v>100</v>
      </c>
      <c r="E51" s="23"/>
      <c r="F51" s="2"/>
      <c r="G51" s="2"/>
      <c r="H51" s="2"/>
      <c r="I51" s="2"/>
      <c r="J51" s="2"/>
      <c r="K51" s="2"/>
      <c r="L51" s="2"/>
      <c r="M51" s="2"/>
      <c r="N51" s="30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1" t="s">
        <v>101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10" t="s">
        <v>102</v>
      </c>
      <c r="B53" s="31">
        <f>+B31*B37*B41*B38</f>
        <v>580000</v>
      </c>
      <c r="C53" s="2" t="s">
        <v>48</v>
      </c>
      <c r="D53" s="2" t="s">
        <v>103</v>
      </c>
      <c r="E53" s="2"/>
      <c r="F53" s="2" t="s">
        <v>104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10" t="s">
        <v>105</v>
      </c>
      <c r="B54" s="31">
        <f>+B36*B37*B41*B38*B32</f>
        <v>180</v>
      </c>
      <c r="C54" s="2" t="s">
        <v>48</v>
      </c>
      <c r="D54" s="2" t="s">
        <v>106</v>
      </c>
      <c r="E54" s="2"/>
      <c r="F54" s="2" t="s">
        <v>104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10" t="s">
        <v>107</v>
      </c>
      <c r="B55" s="31">
        <f>B33*B41*B37*B38</f>
        <v>1600000</v>
      </c>
      <c r="C55" s="2" t="s">
        <v>48</v>
      </c>
      <c r="D55" s="2" t="s">
        <v>108</v>
      </c>
      <c r="E55" s="2"/>
      <c r="F55" s="2" t="s">
        <v>104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10" t="s">
        <v>109</v>
      </c>
      <c r="B56" s="32">
        <f>+B34*B37*B38*B41*B43</f>
        <v>691.96428571428578</v>
      </c>
      <c r="C56" s="2" t="s">
        <v>48</v>
      </c>
      <c r="D56" s="2" t="s">
        <v>110</v>
      </c>
      <c r="E56" s="2"/>
      <c r="F56" s="2" t="s">
        <v>104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10" t="s">
        <v>111</v>
      </c>
      <c r="B57" s="28">
        <f>B30*B37*B38*B44*B39*B40*B41*B42*B36</f>
        <v>-1281.1480328276214</v>
      </c>
      <c r="C57" s="2" t="s">
        <v>48</v>
      </c>
      <c r="D57" s="2" t="s">
        <v>112</v>
      </c>
      <c r="E57" s="2"/>
      <c r="F57" s="2" t="s">
        <v>104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1" t="s">
        <v>16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10" t="s">
        <v>113</v>
      </c>
      <c r="B59" s="33">
        <f>B19</f>
        <v>0</v>
      </c>
      <c r="C59" s="2" t="s">
        <v>26</v>
      </c>
      <c r="D59" s="2" t="s">
        <v>114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10" t="s">
        <v>115</v>
      </c>
      <c r="B60" s="28">
        <f>B57*B51/(1000*12)</f>
        <v>2.2242153347701759E-3</v>
      </c>
      <c r="C60" s="2" t="s">
        <v>26</v>
      </c>
      <c r="D60" s="2" t="s">
        <v>116</v>
      </c>
      <c r="E60" s="2"/>
      <c r="F60" s="2" t="s">
        <v>117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10" t="s">
        <v>14</v>
      </c>
      <c r="B61" s="34">
        <f>B59/B60</f>
        <v>0</v>
      </c>
      <c r="C61" s="35" t="str">
        <f>IF(B61&gt;1,"FAIL","PASS")</f>
        <v>PASS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1" t="s">
        <v>18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10" t="s">
        <v>118</v>
      </c>
      <c r="B63" s="34">
        <f>+B20</f>
        <v>0</v>
      </c>
      <c r="C63" s="2" t="s">
        <v>19</v>
      </c>
      <c r="D63" s="2" t="s">
        <v>119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10" t="s">
        <v>120</v>
      </c>
      <c r="B64" s="34">
        <f>2/3*B47*B48*B26*B54/1000</f>
        <v>0.03</v>
      </c>
      <c r="C64" s="2" t="s">
        <v>19</v>
      </c>
      <c r="D64" s="2" t="s">
        <v>121</v>
      </c>
      <c r="E64" s="2"/>
      <c r="F64" s="2" t="s">
        <v>122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10" t="s">
        <v>14</v>
      </c>
      <c r="B65" s="34">
        <f>B63/B64</f>
        <v>0</v>
      </c>
      <c r="C65" s="35" t="str">
        <f>IF(B65&gt;1,"FAIL","PASS")</f>
        <v>PASS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1" t="s">
        <v>20</v>
      </c>
      <c r="B66" s="3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10" t="s">
        <v>123</v>
      </c>
      <c r="B67" s="34">
        <f>IF(B29="Parallam PSL", 1.2*(28.8*8000*B19/(B33*B47*B48)+270*8000*B19*B23^2/(B33*B47*B48^3)),1.2*5*B19*12*1000*(B23*12)^2/(24*B55*B51*B48))</f>
        <v>0</v>
      </c>
      <c r="C67" s="2" t="s">
        <v>21</v>
      </c>
      <c r="D67" s="2" t="s">
        <v>124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10" t="s">
        <v>125</v>
      </c>
      <c r="B68" s="34">
        <f>+MIN(B50/240,0.75)</f>
        <v>1.4583333333333334E-2</v>
      </c>
      <c r="C68" s="2" t="s">
        <v>21</v>
      </c>
      <c r="D68" s="2" t="s">
        <v>126</v>
      </c>
      <c r="E68" s="2"/>
      <c r="F68" s="2" t="s">
        <v>127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10" t="s">
        <v>14</v>
      </c>
      <c r="B69" s="34">
        <f>B67/B68</f>
        <v>0</v>
      </c>
      <c r="C69" s="35" t="str">
        <f>IF(B69&gt;1,"FAIL","PASS")</f>
        <v>PASS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1" t="s">
        <v>22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10" t="s">
        <v>128</v>
      </c>
      <c r="B71" s="34">
        <f>+B21</f>
        <v>0</v>
      </c>
      <c r="C71" s="2" t="s">
        <v>19</v>
      </c>
      <c r="D71" s="2" t="s">
        <v>129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10" t="s">
        <v>130</v>
      </c>
      <c r="B72" s="34">
        <f>+B56*B27*B47*B26/1000</f>
        <v>-1.2109375</v>
      </c>
      <c r="C72" s="2" t="s">
        <v>19</v>
      </c>
      <c r="D72" s="2" t="s">
        <v>131</v>
      </c>
      <c r="E72" s="2"/>
      <c r="F72" s="2" t="s">
        <v>132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10" t="s">
        <v>14</v>
      </c>
      <c r="B73" s="34">
        <f>B71/B72</f>
        <v>0</v>
      </c>
      <c r="C73" s="35" t="str">
        <f>IF(B73&gt;1,"FAIL","PASS")</f>
        <v>PASS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F2"/>
  </mergeCells>
  <conditionalFormatting sqref="F12:F15">
    <cfRule type="containsText" dxfId="0" priority="1" operator="containsText" text="PASS">
      <formula>NOT(ISERROR(SEARCH("PASS",F12)))</formula>
    </cfRule>
  </conditionalFormatting>
  <dataValidations disablePrompts="1" count="3">
    <dataValidation type="list" allowBlank="1" showErrorMessage="1" sqref="B25" xr:uid="{00000000-0002-0000-0000-000000000000}">
      <formula1>"6,8,10,12,14,9.25,9.5,11.25,11.875,14,16"</formula1>
    </dataValidation>
    <dataValidation type="list" allowBlank="1" showErrorMessage="1" sqref="B24" xr:uid="{00000000-0002-0000-0000-000001000000}">
      <formula1>"2,4,6, 3.5, 5.25, 7"</formula1>
    </dataValidation>
    <dataValidation type="list" allowBlank="1" showErrorMessage="1" sqref="B29" xr:uid="{00000000-0002-0000-0000-000002000000}">
      <formula1>"D.F. Larch No.1,D.F. Larch No.2,Parallam PSL"</formula1>
    </dataValidation>
  </dataValidations>
  <printOptions horizontalCentered="1"/>
  <pageMargins left="0.7" right="0.7" top="0.75" bottom="0.75" header="0" footer="0"/>
  <pageSetup scale="76" orientation="portrait"/>
  <headerFooter>
    <oddHeader>&amp;Cbeam_version_1.0.1</oddHeader>
    <oddFooter>&amp;Cbeam_version_1.0.1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Daniel Zúñiga Ontiveros</dc:creator>
  <cp:lastModifiedBy>Joaquin</cp:lastModifiedBy>
  <dcterms:created xsi:type="dcterms:W3CDTF">2015-06-05T18:17:20Z</dcterms:created>
  <dcterms:modified xsi:type="dcterms:W3CDTF">2023-11-20T21:48:42Z</dcterms:modified>
</cp:coreProperties>
</file>